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615" windowHeight="5355" activeTab="0"/>
  </bookViews>
  <sheets>
    <sheet name="input" sheetId="1" r:id="rId1"/>
    <sheet name="mutuo" sheetId="2" r:id="rId2"/>
    <sheet name="affitto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<sst xmlns="http://schemas.openxmlformats.org/spreadsheetml/2006/main" count="78" uniqueCount="45">
  <si>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% rendita lorda da affitto</t>
  </si>
  <si>
    <t>Valore rogito abitazione</t>
  </si>
  <si>
    <t>Commissioni agenzia</t>
  </si>
  <si>
    <t>Imposte acquisto</t>
  </si>
  <si>
    <t>Spese notarili</t>
  </si>
  <si>
    <t>Capitale proprio</t>
  </si>
  <si>
    <t>% capitale proprio</t>
  </si>
  <si>
    <t>Importo mutuo</t>
  </si>
  <si>
    <t>Durata (mesi)</t>
  </si>
  <si>
    <t>Tasso (fisso)</t>
  </si>
  <si>
    <t>Altre spese (perizia, assicuraz. incendio, ecc)</t>
  </si>
  <si>
    <t>Prima casa</t>
  </si>
  <si>
    <t>si</t>
  </si>
  <si>
    <t>no</t>
  </si>
  <si>
    <t xml:space="preserve">% imposte acquisto </t>
  </si>
  <si>
    <t>% commissioni agenzia</t>
  </si>
  <si>
    <t>Imponibile catastale</t>
  </si>
  <si>
    <t>Valore catastale rivalutato</t>
  </si>
  <si>
    <t>Rata mutuo mensile</t>
  </si>
  <si>
    <t>Rata affitto</t>
  </si>
  <si>
    <t>INPUT DATI ACQUISTO</t>
  </si>
  <si>
    <t>INPUT DATI AFFITTO</t>
  </si>
  <si>
    <t>Costo lordo acquisto abitazione</t>
  </si>
  <si>
    <t>Rendimento netto annuo investimento</t>
  </si>
  <si>
    <t>Durata (anni)</t>
  </si>
  <si>
    <t>ICI</t>
  </si>
  <si>
    <t>anno</t>
  </si>
  <si>
    <t>manutenzione</t>
  </si>
  <si>
    <t>mutuo</t>
  </si>
  <si>
    <t>condominio</t>
  </si>
  <si>
    <t>Totale uscite</t>
  </si>
  <si>
    <t>Valore abitazione</t>
  </si>
  <si>
    <t>affitto</t>
  </si>
  <si>
    <t>Totale uscite annue</t>
  </si>
  <si>
    <t>valore capitale</t>
  </si>
  <si>
    <t>Delta</t>
  </si>
  <si>
    <t>Ipotesi svalutazione immobile</t>
  </si>
  <si>
    <t>in anni</t>
  </si>
  <si>
    <t>Spese condominiali mensili</t>
  </si>
  <si>
    <t>Spese manutenzione mensili</t>
  </si>
  <si>
    <t>Risparmio su valore immobile</t>
  </si>
  <si>
    <t>Tasso rivalutazione affitto+spese</t>
  </si>
  <si>
    <t>Nuovo Valore rogito abitazione</t>
  </si>
  <si>
    <t>Totale risparmio</t>
  </si>
  <si>
    <t>ACQUISTO A TEMPO 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</si>
</sst>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"/>
    <numFmt numFmtId="165" formatCode="&quot;€&quot;\ #,##0"/>
    <numFmt numFmtId="166" formatCode="0.0%"/>
    <numFmt numFmtId="167" formatCode="0.0000"/>
    <numFmt numFmtId="168" formatCode="0.000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&quot;€&quot;\ 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165" fontId="42" fillId="33" borderId="0" xfId="0" applyNumberFormat="1" applyFont="1" applyFill="1" applyAlignment="1">
      <alignment horizontal="center"/>
    </xf>
    <xf numFmtId="0" fontId="43" fillId="0" borderId="0" xfId="0" applyFont="1" applyAlignment="1">
      <alignment/>
    </xf>
    <xf numFmtId="165" fontId="43" fillId="33" borderId="0" xfId="0" applyNumberFormat="1" applyFont="1" applyFill="1" applyAlignment="1">
      <alignment/>
    </xf>
    <xf numFmtId="165" fontId="42" fillId="33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9" fontId="42" fillId="33" borderId="0" xfId="48" applyFont="1" applyFill="1" applyAlignment="1">
      <alignment/>
    </xf>
    <xf numFmtId="165" fontId="42" fillId="0" borderId="0" xfId="0" applyNumberFormat="1" applyFont="1" applyAlignment="1">
      <alignment/>
    </xf>
    <xf numFmtId="9" fontId="42" fillId="0" borderId="0" xfId="48" applyFont="1" applyFill="1" applyAlignment="1">
      <alignment/>
    </xf>
    <xf numFmtId="165" fontId="43" fillId="0" borderId="0" xfId="0" applyNumberFormat="1" applyFont="1" applyFill="1" applyAlignment="1">
      <alignment/>
    </xf>
    <xf numFmtId="3" fontId="42" fillId="33" borderId="0" xfId="0" applyNumberFormat="1" applyFont="1" applyFill="1" applyAlignment="1">
      <alignment/>
    </xf>
    <xf numFmtId="3" fontId="42" fillId="0" borderId="0" xfId="0" applyNumberFormat="1" applyFont="1" applyAlignment="1">
      <alignment/>
    </xf>
    <xf numFmtId="166" fontId="42" fillId="33" borderId="0" xfId="48" applyNumberFormat="1" applyFont="1" applyFill="1" applyAlignment="1">
      <alignment/>
    </xf>
    <xf numFmtId="165" fontId="43" fillId="0" borderId="0" xfId="0" applyNumberFormat="1" applyFont="1" applyAlignment="1">
      <alignment/>
    </xf>
    <xf numFmtId="43" fontId="0" fillId="0" borderId="0" xfId="43" applyFont="1" applyAlignment="1">
      <alignment/>
    </xf>
    <xf numFmtId="43" fontId="0" fillId="0" borderId="0" xfId="43" applyNumberFormat="1" applyFont="1" applyAlignment="1">
      <alignment/>
    </xf>
    <xf numFmtId="43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43" fontId="39" fillId="0" borderId="0" xfId="0" applyNumberFormat="1" applyFont="1" applyAlignment="1">
      <alignment/>
    </xf>
    <xf numFmtId="43" fontId="39" fillId="0" borderId="0" xfId="43" applyFont="1" applyAlignment="1">
      <alignment/>
    </xf>
    <xf numFmtId="0" fontId="39" fillId="34" borderId="0" xfId="0" applyFont="1" applyFill="1" applyAlignment="1">
      <alignment/>
    </xf>
    <xf numFmtId="43" fontId="39" fillId="34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166" fontId="42" fillId="0" borderId="0" xfId="48" applyNumberFormat="1" applyFont="1" applyFill="1" applyAlignment="1">
      <alignment/>
    </xf>
    <xf numFmtId="0" fontId="44" fillId="0" borderId="10" xfId="0" applyFont="1" applyBorder="1" applyAlignment="1">
      <alignment/>
    </xf>
    <xf numFmtId="165" fontId="45" fillId="0" borderId="11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165" fontId="45" fillId="0" borderId="13" xfId="0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8" fillId="0" borderId="16" xfId="0" applyFont="1" applyBorder="1" applyAlignment="1">
      <alignment/>
    </xf>
    <xf numFmtId="165" fontId="49" fillId="0" borderId="17" xfId="0" applyNumberFormat="1" applyFont="1" applyBorder="1" applyAlignment="1">
      <alignment/>
    </xf>
    <xf numFmtId="0" fontId="48" fillId="0" borderId="18" xfId="0" applyFont="1" applyBorder="1" applyAlignment="1">
      <alignment/>
    </xf>
    <xf numFmtId="165" fontId="49" fillId="0" borderId="19" xfId="0" applyNumberFormat="1" applyFont="1" applyBorder="1" applyAlignment="1">
      <alignment/>
    </xf>
    <xf numFmtId="0" fontId="48" fillId="34" borderId="18" xfId="0" applyFont="1" applyFill="1" applyBorder="1" applyAlignment="1">
      <alignment/>
    </xf>
    <xf numFmtId="165" fontId="49" fillId="34" borderId="19" xfId="0" applyNumberFormat="1" applyFont="1" applyFill="1" applyBorder="1" applyAlignment="1">
      <alignment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1.28125" style="2" bestFit="1" customWidth="1"/>
    <col min="2" max="2" width="12.140625" style="11" customWidth="1"/>
    <col min="3" max="3" width="5.57421875" style="2" customWidth="1"/>
    <col min="4" max="4" width="37.00390625" style="2" bestFit="1" customWidth="1"/>
    <col min="5" max="5" width="11.57421875" style="2" bestFit="1" customWidth="1"/>
    <col min="6" max="6" width="4.7109375" style="2" customWidth="1"/>
    <col min="7" max="7" width="37.00390625" style="2" bestFit="1" customWidth="1"/>
    <col min="8" max="16384" width="9.140625" style="2" customWidth="1"/>
  </cols>
  <sheetData>
    <row r="1" spans="1:8" ht="12.75">
      <c r="A1" s="43" t="s">
        <v>44</v>
      </c>
      <c r="D1" s="44" t="str">
        <f>"ACQUISTO A TEMPO "&amp;E31</f>
        <v>ACQUISTO A TEMPO 3</v>
      </c>
      <c r="E1" s="44"/>
      <c r="F1" s="44"/>
      <c r="G1" s="44"/>
      <c r="H1" s="44"/>
    </row>
    <row r="2" spans="1:7" s="9" customFormat="1" ht="12.75">
      <c r="A2" s="7" t="s">
        <v>20</v>
      </c>
      <c r="B2" s="8"/>
      <c r="D2" s="7" t="s">
        <v>21</v>
      </c>
      <c r="G2" s="7" t="str">
        <f>"INPUT DATI ACQUISTO DOPO ANNI "&amp;E31</f>
        <v>INPUT DATI ACQUISTO DOPO ANNI 3</v>
      </c>
    </row>
    <row r="3" spans="1:8" ht="12.75">
      <c r="A3" s="2" t="s">
        <v>11</v>
      </c>
      <c r="B3" s="3" t="s">
        <v>12</v>
      </c>
      <c r="G3" s="2" t="s">
        <v>11</v>
      </c>
      <c r="H3" s="3" t="s">
        <v>12</v>
      </c>
    </row>
    <row r="4" spans="1:8" ht="12.75">
      <c r="A4" s="4" t="s">
        <v>1</v>
      </c>
      <c r="B4" s="5">
        <v>250000</v>
      </c>
      <c r="G4" s="4" t="s">
        <v>42</v>
      </c>
      <c r="H4" s="13">
        <f>B4*(1-E30)</f>
        <v>212500</v>
      </c>
    </row>
    <row r="5" spans="1:8" ht="12.75">
      <c r="A5" s="2" t="s">
        <v>17</v>
      </c>
      <c r="B5" s="6">
        <v>100000</v>
      </c>
      <c r="G5" s="2" t="s">
        <v>17</v>
      </c>
      <c r="H5" s="6">
        <v>100000</v>
      </c>
    </row>
    <row r="6" spans="1:8" ht="12.75">
      <c r="A6" s="2" t="s">
        <v>16</v>
      </c>
      <c r="B6" s="8">
        <f>IF(B3="si",(B5*1.1),(B5*1.2))</f>
        <v>110000.00000000001</v>
      </c>
      <c r="G6" s="2" t="s">
        <v>16</v>
      </c>
      <c r="H6" s="8">
        <f>IF(H3="si",(H5*1.1),(H5*1.2))</f>
        <v>110000.00000000001</v>
      </c>
    </row>
    <row r="7" spans="1:8" ht="12.75">
      <c r="A7" s="2" t="s">
        <v>15</v>
      </c>
      <c r="B7" s="10">
        <v>0.03</v>
      </c>
      <c r="E7" s="11"/>
      <c r="G7" s="2" t="s">
        <v>15</v>
      </c>
      <c r="H7" s="10">
        <v>0.03</v>
      </c>
    </row>
    <row r="8" spans="1:8" ht="12.75">
      <c r="A8" s="2" t="s">
        <v>2</v>
      </c>
      <c r="B8" s="8">
        <f>B4*B7*1.2</f>
        <v>9000</v>
      </c>
      <c r="G8" s="2" t="s">
        <v>2</v>
      </c>
      <c r="H8" s="8">
        <f>H4*H7*1.2</f>
        <v>7650</v>
      </c>
    </row>
    <row r="9" spans="1:8" ht="12.75">
      <c r="A9" s="2" t="s">
        <v>14</v>
      </c>
      <c r="B9" s="12">
        <f>IF(B3="si",0.03,0.1)</f>
        <v>0.03</v>
      </c>
      <c r="G9" s="2" t="s">
        <v>14</v>
      </c>
      <c r="H9" s="12">
        <f>IF(H3="si",0.03,0.1)</f>
        <v>0.03</v>
      </c>
    </row>
    <row r="10" spans="1:8" ht="12.75">
      <c r="A10" s="2" t="s">
        <v>3</v>
      </c>
      <c r="B10" s="8">
        <f>B9*B6</f>
        <v>3300.0000000000005</v>
      </c>
      <c r="G10" s="2" t="s">
        <v>3</v>
      </c>
      <c r="H10" s="8">
        <f>H9*H6</f>
        <v>3300.0000000000005</v>
      </c>
    </row>
    <row r="11" spans="1:8" ht="12.75">
      <c r="A11" s="2" t="s">
        <v>4</v>
      </c>
      <c r="B11" s="6">
        <v>2500</v>
      </c>
      <c r="G11" s="2" t="s">
        <v>4</v>
      </c>
      <c r="H11" s="6">
        <v>2500</v>
      </c>
    </row>
    <row r="12" spans="1:8" ht="12.75">
      <c r="A12" s="2" t="s">
        <v>10</v>
      </c>
      <c r="B12" s="6">
        <v>500</v>
      </c>
      <c r="G12" s="2" t="s">
        <v>10</v>
      </c>
      <c r="H12" s="6">
        <v>500</v>
      </c>
    </row>
    <row r="13" spans="1:8" ht="12.75">
      <c r="A13" s="4" t="s">
        <v>22</v>
      </c>
      <c r="B13" s="13">
        <f>B4+B8+B10+B11+B12</f>
        <v>265300</v>
      </c>
      <c r="G13" s="4" t="s">
        <v>22</v>
      </c>
      <c r="H13" s="13">
        <f>H4+H8+H10+H11+H12</f>
        <v>226450</v>
      </c>
    </row>
    <row r="14" spans="4:8" ht="12.75">
      <c r="D14" s="2" t="s">
        <v>0</v>
      </c>
      <c r="E14" s="16">
        <v>0.042</v>
      </c>
      <c r="H14" s="11"/>
    </row>
    <row r="15" spans="1:8" ht="12.75">
      <c r="A15" s="2" t="s">
        <v>6</v>
      </c>
      <c r="B15" s="10">
        <v>0.4</v>
      </c>
      <c r="G15" s="2" t="s">
        <v>6</v>
      </c>
      <c r="H15" s="12">
        <f>H16/H4</f>
        <v>0.5593148235294118</v>
      </c>
    </row>
    <row r="16" spans="1:8" ht="12.75">
      <c r="A16" s="2" t="s">
        <v>5</v>
      </c>
      <c r="B16" s="11">
        <f>B15*B13</f>
        <v>106120</v>
      </c>
      <c r="D16" s="2" t="s">
        <v>5</v>
      </c>
      <c r="E16" s="11">
        <f>B16</f>
        <v>106120</v>
      </c>
      <c r="G16" s="2" t="s">
        <v>5</v>
      </c>
      <c r="H16" s="11">
        <f>E16+E34</f>
        <v>118854.4</v>
      </c>
    </row>
    <row r="17" spans="1:8" ht="12.75">
      <c r="A17" s="2" t="s">
        <v>7</v>
      </c>
      <c r="B17" s="11">
        <f>B13-B16</f>
        <v>159180</v>
      </c>
      <c r="G17" s="2" t="s">
        <v>7</v>
      </c>
      <c r="H17" s="11">
        <f>H13-H16</f>
        <v>107595.6</v>
      </c>
    </row>
    <row r="18" spans="1:8" ht="12.75">
      <c r="A18" s="2" t="s">
        <v>24</v>
      </c>
      <c r="B18" s="14">
        <v>20</v>
      </c>
      <c r="D18" s="2" t="s">
        <v>24</v>
      </c>
      <c r="E18" s="15">
        <f>B18</f>
        <v>20</v>
      </c>
      <c r="G18" s="2" t="s">
        <v>24</v>
      </c>
      <c r="H18" s="26">
        <f>B18-E31</f>
        <v>17</v>
      </c>
    </row>
    <row r="19" spans="1:8" ht="12.75" hidden="1">
      <c r="A19" s="2" t="s">
        <v>8</v>
      </c>
      <c r="B19" s="26">
        <f>B18*12</f>
        <v>240</v>
      </c>
      <c r="D19" s="2" t="s">
        <v>8</v>
      </c>
      <c r="E19" s="15">
        <f>B19</f>
        <v>240</v>
      </c>
      <c r="G19" s="2" t="s">
        <v>8</v>
      </c>
      <c r="H19" s="26">
        <f>H18*12</f>
        <v>204</v>
      </c>
    </row>
    <row r="20" spans="1:8" ht="12.75">
      <c r="A20" s="2" t="s">
        <v>9</v>
      </c>
      <c r="B20" s="16">
        <v>0.055</v>
      </c>
      <c r="D20" s="2" t="s">
        <v>23</v>
      </c>
      <c r="E20" s="16">
        <v>0.04</v>
      </c>
      <c r="G20" s="2" t="s">
        <v>9</v>
      </c>
      <c r="H20" s="28">
        <f>B20</f>
        <v>0.055</v>
      </c>
    </row>
    <row r="21" ht="12.75">
      <c r="B21" s="2"/>
    </row>
    <row r="22" spans="1:8" ht="13.5" customHeight="1">
      <c r="A22" s="4" t="s">
        <v>18</v>
      </c>
      <c r="B22" s="17">
        <f>-PMT(B20/12,B19,B17)</f>
        <v>1094.9790166503349</v>
      </c>
      <c r="D22" s="4" t="s">
        <v>19</v>
      </c>
      <c r="E22" s="17">
        <f>B4*E14/12</f>
        <v>875</v>
      </c>
      <c r="G22" s="4" t="s">
        <v>18</v>
      </c>
      <c r="H22" s="17">
        <f>-PMT(H20/12,H19,H17)</f>
        <v>813.0022224493566</v>
      </c>
    </row>
    <row r="23" spans="1:8" ht="12.75">
      <c r="A23" s="2" t="s">
        <v>38</v>
      </c>
      <c r="B23" s="6">
        <v>100</v>
      </c>
      <c r="D23" s="2" t="s">
        <v>38</v>
      </c>
      <c r="E23" s="6">
        <v>0</v>
      </c>
      <c r="G23" s="2" t="s">
        <v>38</v>
      </c>
      <c r="H23" s="6">
        <v>100</v>
      </c>
    </row>
    <row r="24" spans="1:8" ht="12.75">
      <c r="A24" s="2" t="s">
        <v>39</v>
      </c>
      <c r="B24" s="6">
        <v>100</v>
      </c>
      <c r="D24" s="2" t="s">
        <v>39</v>
      </c>
      <c r="E24" s="6">
        <v>0</v>
      </c>
      <c r="G24" s="2" t="s">
        <v>39</v>
      </c>
      <c r="H24" s="6">
        <v>100</v>
      </c>
    </row>
    <row r="25" spans="1:8" ht="12.75">
      <c r="A25" s="2" t="s">
        <v>25</v>
      </c>
      <c r="B25" s="6">
        <f>IF(B3="si",0,(B5*0.005))</f>
        <v>0</v>
      </c>
      <c r="D25" s="2" t="s">
        <v>25</v>
      </c>
      <c r="E25" s="6">
        <v>0</v>
      </c>
      <c r="G25" s="2" t="s">
        <v>25</v>
      </c>
      <c r="H25" s="6">
        <f>IF(H3="si",0,(H5*0.005))</f>
        <v>0</v>
      </c>
    </row>
    <row r="26" spans="1:8" ht="12.75">
      <c r="A26" s="4" t="s">
        <v>33</v>
      </c>
      <c r="B26" s="13">
        <f>(B22*12)+B23+B24+B25</f>
        <v>13339.748199804018</v>
      </c>
      <c r="D26" s="4" t="s">
        <v>33</v>
      </c>
      <c r="E26" s="13">
        <f>(E22*12)+E23+E24+E25</f>
        <v>10500</v>
      </c>
      <c r="G26" s="4" t="s">
        <v>33</v>
      </c>
      <c r="H26" s="13">
        <f>(H22*12)+H23+H24+H25</f>
        <v>9956.026669392279</v>
      </c>
    </row>
    <row r="28" spans="1:5" ht="12.75">
      <c r="A28" s="9"/>
      <c r="B28" s="28"/>
      <c r="D28" s="2" t="s">
        <v>41</v>
      </c>
      <c r="E28" s="28">
        <v>0</v>
      </c>
    </row>
    <row r="30" spans="4:5" ht="12.75">
      <c r="D30" s="2" t="s">
        <v>36</v>
      </c>
      <c r="E30" s="10">
        <v>0.15</v>
      </c>
    </row>
    <row r="31" spans="4:5" ht="12.75">
      <c r="D31" s="2" t="s">
        <v>37</v>
      </c>
      <c r="E31" s="27">
        <v>3</v>
      </c>
    </row>
    <row r="32" ht="13.5" thickBot="1"/>
    <row r="33" spans="4:5" ht="12.75">
      <c r="D33" s="29" t="s">
        <v>40</v>
      </c>
      <c r="E33" s="30">
        <f>B4*E30</f>
        <v>37500</v>
      </c>
    </row>
    <row r="34" spans="4:5" ht="12.75">
      <c r="D34" s="31" t="str">
        <f>"Rendimento su capitale proprio in anni "&amp;E31</f>
        <v>Rendimento su capitale proprio in anni 3</v>
      </c>
      <c r="E34" s="32">
        <f>E20*E16*E31</f>
        <v>12734.400000000001</v>
      </c>
    </row>
    <row r="35" spans="4:5" ht="12.75">
      <c r="D35" s="31" t="str">
        <f>"Delta mutuo-affitto in anni "&amp;E31</f>
        <v>Delta mutuo-affitto in anni 3</v>
      </c>
      <c r="E35" s="32">
        <f>(B26-E26)*E31</f>
        <v>8519.244599412055</v>
      </c>
    </row>
    <row r="36" spans="4:5" ht="12.75">
      <c r="D36" s="33" t="str">
        <f>"Affitto pagato in anni "&amp;E31</f>
        <v>Affitto pagato in anni 3</v>
      </c>
      <c r="E36" s="34">
        <f>E31*E26</f>
        <v>31500</v>
      </c>
    </row>
    <row r="37" spans="4:5" ht="13.5" thickBot="1">
      <c r="D37" s="35"/>
      <c r="E37" s="36"/>
    </row>
    <row r="38" spans="4:8" ht="13.5" thickBot="1">
      <c r="D38" s="37" t="str">
        <f>"Risparmio effettivo in anni "&amp;E31</f>
        <v>Risparmio effettivo in anni 3</v>
      </c>
      <c r="E38" s="38">
        <f>E33+E34-E36+E35</f>
        <v>27253.64459941206</v>
      </c>
      <c r="G38" s="39" t="str">
        <f>"Risparmio da mutuo in anni "&amp;H18</f>
        <v>Risparmio da mutuo in anni 17</v>
      </c>
      <c r="H38" s="40">
        <f>(B26-H26)*H18</f>
        <v>57523.26601699958</v>
      </c>
    </row>
    <row r="39" ht="13.5" thickBot="1"/>
    <row r="40" spans="7:8" ht="13.5" thickBot="1">
      <c r="G40" s="41" t="s">
        <v>43</v>
      </c>
      <c r="H40" s="42">
        <f>E38+H38</f>
        <v>84776.91061641164</v>
      </c>
    </row>
    <row r="68" ht="12.75">
      <c r="A68" s="2" t="s">
        <v>12</v>
      </c>
    </row>
    <row r="69" ht="12.75">
      <c r="A69" s="2" t="s">
        <v>13</v>
      </c>
    </row>
  </sheetData>
  <sheetProtection/>
  <mergeCells count="1">
    <mergeCell ref="D1:H1"/>
  </mergeCells>
  <dataValidations count="1">
    <dataValidation type="list" allowBlank="1" showInputMessage="1" showErrorMessage="1" sqref="H3 B3">
      <formula1>$A$68:$A$69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B40" sqref="B40"/>
    </sheetView>
  </sheetViews>
  <sheetFormatPr defaultColWidth="9.140625" defaultRowHeight="15"/>
  <cols>
    <col min="2" max="2" width="14.00390625" style="0" bestFit="1" customWidth="1"/>
    <col min="3" max="3" width="14.00390625" style="0" customWidth="1"/>
    <col min="4" max="4" width="14.00390625" style="0" bestFit="1" customWidth="1"/>
    <col min="6" max="6" width="11.57421875" style="0" bestFit="1" customWidth="1"/>
    <col min="8" max="8" width="16.7109375" style="0" bestFit="1" customWidth="1"/>
  </cols>
  <sheetData>
    <row r="1" spans="1:8" s="1" customFormat="1" ht="15">
      <c r="A1" s="21" t="s">
        <v>26</v>
      </c>
      <c r="B1" s="21" t="s">
        <v>28</v>
      </c>
      <c r="C1" s="21" t="s">
        <v>29</v>
      </c>
      <c r="D1" s="21" t="s">
        <v>27</v>
      </c>
      <c r="E1" s="21" t="s">
        <v>25</v>
      </c>
      <c r="F1" s="1" t="s">
        <v>30</v>
      </c>
      <c r="H1" s="1" t="s">
        <v>31</v>
      </c>
    </row>
    <row r="2" spans="1:8" ht="15">
      <c r="A2">
        <v>1</v>
      </c>
      <c r="B2" s="19">
        <f>IF(A2&lt;=input!$B$18,-(input!$B$22*12),0)</f>
        <v>-13139.748199804018</v>
      </c>
      <c r="C2" s="18">
        <f>-input!B23</f>
        <v>-100</v>
      </c>
      <c r="D2" s="18">
        <f>-input!B24</f>
        <v>-100</v>
      </c>
      <c r="E2">
        <f>-input!$B$25</f>
        <v>0</v>
      </c>
      <c r="F2" s="20">
        <f>SUM(B2:E2)</f>
        <v>-13339.748199804018</v>
      </c>
      <c r="H2" s="18">
        <f>input!B4</f>
        <v>250000</v>
      </c>
    </row>
    <row r="3" spans="1:8" ht="15">
      <c r="A3">
        <v>2</v>
      </c>
      <c r="B3" s="19">
        <f>IF(A3&lt;=input!$B$18,-(input!$B$22*12),0)</f>
        <v>-13139.748199804018</v>
      </c>
      <c r="C3" s="18">
        <f>(C2*(1+input!$B$28))</f>
        <v>-100</v>
      </c>
      <c r="D3" s="18">
        <f>(D2*(1+input!$B$28))</f>
        <v>-100</v>
      </c>
      <c r="E3">
        <f>-input!$B$25</f>
        <v>0</v>
      </c>
      <c r="F3" s="20">
        <f aca="true" t="shared" si="0" ref="F3:F36">SUM(B3:E3)</f>
        <v>-13339.748199804018</v>
      </c>
      <c r="H3" s="18">
        <f>H2*(1+input!$B$28)</f>
        <v>250000</v>
      </c>
    </row>
    <row r="4" spans="1:8" ht="15">
      <c r="A4">
        <v>3</v>
      </c>
      <c r="B4" s="19">
        <f>IF(A4&lt;=input!$B$18,-(input!$B$22*12),0)</f>
        <v>-13139.748199804018</v>
      </c>
      <c r="C4" s="18">
        <f>(C3*(1+input!$B$28))</f>
        <v>-100</v>
      </c>
      <c r="D4" s="18">
        <f>(D3*(1+input!$B$28))</f>
        <v>-100</v>
      </c>
      <c r="E4">
        <f>-input!$B$25</f>
        <v>0</v>
      </c>
      <c r="F4" s="20">
        <f t="shared" si="0"/>
        <v>-13339.748199804018</v>
      </c>
      <c r="H4" s="18">
        <f>H3*(1+input!$B$28)</f>
        <v>250000</v>
      </c>
    </row>
    <row r="5" spans="1:8" ht="15">
      <c r="A5">
        <v>4</v>
      </c>
      <c r="B5" s="19">
        <f>IF(A5&lt;=input!$B$18,-(input!$B$22*12),0)</f>
        <v>-13139.748199804018</v>
      </c>
      <c r="C5" s="18">
        <f>(C4*(1+input!$B$28))</f>
        <v>-100</v>
      </c>
      <c r="D5" s="18">
        <f>(D4*(1+input!$B$28))</f>
        <v>-100</v>
      </c>
      <c r="E5">
        <f>-input!$B$25</f>
        <v>0</v>
      </c>
      <c r="F5" s="20">
        <f t="shared" si="0"/>
        <v>-13339.748199804018</v>
      </c>
      <c r="H5" s="18">
        <f>H4*(1+input!$B$28)</f>
        <v>250000</v>
      </c>
    </row>
    <row r="6" spans="1:8" ht="15">
      <c r="A6">
        <v>5</v>
      </c>
      <c r="B6" s="19">
        <f>IF(A6&lt;=input!$B$18,-(input!$B$22*12),0)</f>
        <v>-13139.748199804018</v>
      </c>
      <c r="C6" s="18">
        <f>(C5*(1+input!$B$28))</f>
        <v>-100</v>
      </c>
      <c r="D6" s="18">
        <f>(D5*(1+input!$B$28))</f>
        <v>-100</v>
      </c>
      <c r="E6">
        <f>-input!$B$25</f>
        <v>0</v>
      </c>
      <c r="F6" s="20">
        <f t="shared" si="0"/>
        <v>-13339.748199804018</v>
      </c>
      <c r="H6" s="18">
        <f>H5*(1+input!$B$28)</f>
        <v>250000</v>
      </c>
    </row>
    <row r="7" spans="1:8" ht="15">
      <c r="A7">
        <v>6</v>
      </c>
      <c r="B7" s="19">
        <f>IF(A7&lt;=input!$B$18,-(input!$B$22*12),0)</f>
        <v>-13139.748199804018</v>
      </c>
      <c r="C7" s="18">
        <f>(C6*(1+input!$B$28))</f>
        <v>-100</v>
      </c>
      <c r="D7" s="18">
        <f>(D6*(1+input!$B$28))</f>
        <v>-100</v>
      </c>
      <c r="E7">
        <f>-input!$B$25</f>
        <v>0</v>
      </c>
      <c r="F7" s="20">
        <f t="shared" si="0"/>
        <v>-13339.748199804018</v>
      </c>
      <c r="H7" s="18">
        <f>H6*(1+input!$B$28)</f>
        <v>250000</v>
      </c>
    </row>
    <row r="8" spans="1:8" ht="15">
      <c r="A8">
        <v>7</v>
      </c>
      <c r="B8" s="19">
        <f>IF(A8&lt;=input!$B$18,-(input!$B$22*12),0)</f>
        <v>-13139.748199804018</v>
      </c>
      <c r="C8" s="18">
        <f>(C7*(1+input!$B$28))</f>
        <v>-100</v>
      </c>
      <c r="D8" s="18">
        <f>(D7*(1+input!$B$28))</f>
        <v>-100</v>
      </c>
      <c r="E8">
        <f>-input!$B$25</f>
        <v>0</v>
      </c>
      <c r="F8" s="20">
        <f t="shared" si="0"/>
        <v>-13339.748199804018</v>
      </c>
      <c r="H8" s="18">
        <f>H7*(1+input!$B$28)</f>
        <v>250000</v>
      </c>
    </row>
    <row r="9" spans="1:8" ht="15">
      <c r="A9">
        <v>8</v>
      </c>
      <c r="B9" s="19">
        <f>IF(A9&lt;=input!$B$18,-(input!$B$22*12),0)</f>
        <v>-13139.748199804018</v>
      </c>
      <c r="C9" s="18">
        <f>(C8*(1+input!$B$28))</f>
        <v>-100</v>
      </c>
      <c r="D9" s="18">
        <f>(D8*(1+input!$B$28))</f>
        <v>-100</v>
      </c>
      <c r="E9">
        <f>-input!$B$25</f>
        <v>0</v>
      </c>
      <c r="F9" s="20">
        <f t="shared" si="0"/>
        <v>-13339.748199804018</v>
      </c>
      <c r="H9" s="18">
        <f>H8*(1+input!$B$28)</f>
        <v>250000</v>
      </c>
    </row>
    <row r="10" spans="1:8" ht="15">
      <c r="A10">
        <v>9</v>
      </c>
      <c r="B10" s="19">
        <f>IF(A10&lt;=input!$B$18,-(input!$B$22*12),0)</f>
        <v>-13139.748199804018</v>
      </c>
      <c r="C10" s="18">
        <f>(C9*(1+input!$B$28))</f>
        <v>-100</v>
      </c>
      <c r="D10" s="18">
        <f>(D9*(1+input!$B$28))</f>
        <v>-100</v>
      </c>
      <c r="E10">
        <f>-input!$B$25</f>
        <v>0</v>
      </c>
      <c r="F10" s="20">
        <f t="shared" si="0"/>
        <v>-13339.748199804018</v>
      </c>
      <c r="H10" s="18">
        <f>H9*(1+input!$B$28)</f>
        <v>250000</v>
      </c>
    </row>
    <row r="11" spans="1:8" ht="15">
      <c r="A11">
        <v>10</v>
      </c>
      <c r="B11" s="19">
        <f>IF(A11&lt;=input!$B$18,-(input!$B$22*12),0)</f>
        <v>-13139.748199804018</v>
      </c>
      <c r="C11" s="18">
        <f>(C10*(1+input!$B$28))</f>
        <v>-100</v>
      </c>
      <c r="D11" s="18">
        <f>(D10*(1+input!$B$28))</f>
        <v>-100</v>
      </c>
      <c r="E11">
        <f>-input!$B$25</f>
        <v>0</v>
      </c>
      <c r="F11" s="20">
        <f t="shared" si="0"/>
        <v>-13339.748199804018</v>
      </c>
      <c r="H11" s="18">
        <f>H10*(1+input!$B$28)</f>
        <v>250000</v>
      </c>
    </row>
    <row r="12" spans="1:8" ht="15">
      <c r="A12">
        <v>11</v>
      </c>
      <c r="B12" s="19">
        <f>IF(A12&lt;=input!$B$18,-(input!$B$22*12),0)</f>
        <v>-13139.748199804018</v>
      </c>
      <c r="C12" s="18">
        <f>(C11*(1+input!$B$28))</f>
        <v>-100</v>
      </c>
      <c r="D12" s="18">
        <f>(D11*(1+input!$B$28))</f>
        <v>-100</v>
      </c>
      <c r="E12">
        <f>-input!$B$25</f>
        <v>0</v>
      </c>
      <c r="F12" s="20">
        <f t="shared" si="0"/>
        <v>-13339.748199804018</v>
      </c>
      <c r="H12" s="18">
        <f>H11*(1+input!$B$28)</f>
        <v>250000</v>
      </c>
    </row>
    <row r="13" spans="1:8" ht="15">
      <c r="A13">
        <v>12</v>
      </c>
      <c r="B13" s="19">
        <f>IF(A13&lt;=input!$B$18,-(input!$B$22*12),0)</f>
        <v>-13139.748199804018</v>
      </c>
      <c r="C13" s="18">
        <f>(C12*(1+input!$B$28))</f>
        <v>-100</v>
      </c>
      <c r="D13" s="18">
        <f>(D12*(1+input!$B$28))</f>
        <v>-100</v>
      </c>
      <c r="E13">
        <f>-input!$B$25</f>
        <v>0</v>
      </c>
      <c r="F13" s="20">
        <f t="shared" si="0"/>
        <v>-13339.748199804018</v>
      </c>
      <c r="H13" s="18">
        <f>H12*(1+input!$B$28)</f>
        <v>250000</v>
      </c>
    </row>
    <row r="14" spans="1:8" ht="15">
      <c r="A14">
        <v>13</v>
      </c>
      <c r="B14" s="19">
        <f>IF(A14&lt;=input!$B$18,-(input!$B$22*12),0)</f>
        <v>-13139.748199804018</v>
      </c>
      <c r="C14" s="18">
        <f>(C13*(1+input!$B$28))</f>
        <v>-100</v>
      </c>
      <c r="D14" s="18">
        <f>(D13*(1+input!$B$28))</f>
        <v>-100</v>
      </c>
      <c r="E14">
        <f>-input!$B$25</f>
        <v>0</v>
      </c>
      <c r="F14" s="20">
        <f t="shared" si="0"/>
        <v>-13339.748199804018</v>
      </c>
      <c r="H14" s="18">
        <f>H13*(1+input!$B$28)</f>
        <v>250000</v>
      </c>
    </row>
    <row r="15" spans="1:8" ht="15">
      <c r="A15">
        <v>14</v>
      </c>
      <c r="B15" s="19">
        <f>IF(A15&lt;=input!$B$18,-(input!$B$22*12),0)</f>
        <v>-13139.748199804018</v>
      </c>
      <c r="C15" s="18">
        <f>(C14*(1+input!$B$28))</f>
        <v>-100</v>
      </c>
      <c r="D15" s="18">
        <f>(D14*(1+input!$B$28))</f>
        <v>-100</v>
      </c>
      <c r="E15">
        <f>-input!$B$25</f>
        <v>0</v>
      </c>
      <c r="F15" s="20">
        <f t="shared" si="0"/>
        <v>-13339.748199804018</v>
      </c>
      <c r="H15" s="18">
        <f>H14*(1+input!$B$28)</f>
        <v>250000</v>
      </c>
    </row>
    <row r="16" spans="1:8" ht="15">
      <c r="A16">
        <v>15</v>
      </c>
      <c r="B16" s="19">
        <f>IF(A16&lt;=input!$B$18,-(input!$B$22*12),0)</f>
        <v>-13139.748199804018</v>
      </c>
      <c r="C16" s="18">
        <f>(C15*(1+input!$B$28))</f>
        <v>-100</v>
      </c>
      <c r="D16" s="18">
        <f>(D15*(1+input!$B$28))</f>
        <v>-100</v>
      </c>
      <c r="E16">
        <f>-input!$B$25</f>
        <v>0</v>
      </c>
      <c r="F16" s="20">
        <f t="shared" si="0"/>
        <v>-13339.748199804018</v>
      </c>
      <c r="H16" s="18">
        <f>H15*(1+input!$B$28)</f>
        <v>250000</v>
      </c>
    </row>
    <row r="17" spans="1:8" ht="15">
      <c r="A17">
        <v>16</v>
      </c>
      <c r="B17" s="19">
        <f>IF(A17&lt;=input!$B$18,-(input!$B$22*12),0)</f>
        <v>-13139.748199804018</v>
      </c>
      <c r="C17" s="18">
        <f>(C16*(1+input!$B$28))</f>
        <v>-100</v>
      </c>
      <c r="D17" s="18">
        <f>(D16*(1+input!$B$28))</f>
        <v>-100</v>
      </c>
      <c r="E17">
        <f>-input!$B$25</f>
        <v>0</v>
      </c>
      <c r="F17" s="20">
        <f t="shared" si="0"/>
        <v>-13339.748199804018</v>
      </c>
      <c r="H17" s="18">
        <f>H16*(1+input!$B$28)</f>
        <v>250000</v>
      </c>
    </row>
    <row r="18" spans="1:8" ht="15">
      <c r="A18">
        <v>17</v>
      </c>
      <c r="B18" s="19">
        <f>IF(A18&lt;=input!$B$18,-(input!$B$22*12),0)</f>
        <v>-13139.748199804018</v>
      </c>
      <c r="C18" s="18">
        <f>(C17*(1+input!$B$28))</f>
        <v>-100</v>
      </c>
      <c r="D18" s="18">
        <f>(D17*(1+input!$B$28))</f>
        <v>-100</v>
      </c>
      <c r="E18">
        <f>-input!$B$25</f>
        <v>0</v>
      </c>
      <c r="F18" s="20">
        <f t="shared" si="0"/>
        <v>-13339.748199804018</v>
      </c>
      <c r="H18" s="18">
        <f>H17*(1+input!$B$28)</f>
        <v>250000</v>
      </c>
    </row>
    <row r="19" spans="1:8" ht="15">
      <c r="A19">
        <v>18</v>
      </c>
      <c r="B19" s="19">
        <f>IF(A19&lt;=input!$B$18,-(input!$B$22*12),0)</f>
        <v>-13139.748199804018</v>
      </c>
      <c r="C19" s="18">
        <f>(C18*(1+input!$B$28))</f>
        <v>-100</v>
      </c>
      <c r="D19" s="18">
        <f>(D18*(1+input!$B$28))</f>
        <v>-100</v>
      </c>
      <c r="E19">
        <f>-input!$B$25</f>
        <v>0</v>
      </c>
      <c r="F19" s="20">
        <f t="shared" si="0"/>
        <v>-13339.748199804018</v>
      </c>
      <c r="H19" s="18">
        <f>H18*(1+input!$B$28)</f>
        <v>250000</v>
      </c>
    </row>
    <row r="20" spans="1:8" ht="15">
      <c r="A20">
        <v>19</v>
      </c>
      <c r="B20" s="19">
        <f>IF(A20&lt;=input!$B$18,-(input!$B$22*12),0)</f>
        <v>-13139.748199804018</v>
      </c>
      <c r="C20" s="18">
        <f>(C19*(1+input!$B$28))</f>
        <v>-100</v>
      </c>
      <c r="D20" s="18">
        <f>(D19*(1+input!$B$28))</f>
        <v>-100</v>
      </c>
      <c r="E20">
        <f>-input!$B$25</f>
        <v>0</v>
      </c>
      <c r="F20" s="20">
        <f t="shared" si="0"/>
        <v>-13339.748199804018</v>
      </c>
      <c r="H20" s="18">
        <f>H19*(1+input!$B$28)</f>
        <v>250000</v>
      </c>
    </row>
    <row r="21" spans="1:8" ht="15">
      <c r="A21">
        <v>20</v>
      </c>
      <c r="B21" s="19">
        <f>IF(A21&lt;=input!$B$18,-(input!$B$22*12),0)</f>
        <v>-13139.748199804018</v>
      </c>
      <c r="C21" s="18">
        <f>(C20*(1+input!$B$28))</f>
        <v>-100</v>
      </c>
      <c r="D21" s="18">
        <f>(D20*(1+input!$B$28))</f>
        <v>-100</v>
      </c>
      <c r="E21">
        <f>-input!$B$25</f>
        <v>0</v>
      </c>
      <c r="F21" s="20">
        <f t="shared" si="0"/>
        <v>-13339.748199804018</v>
      </c>
      <c r="H21" s="18">
        <f>H20*(1+input!$B$28)</f>
        <v>250000</v>
      </c>
    </row>
    <row r="22" spans="1:8" ht="15">
      <c r="A22">
        <v>21</v>
      </c>
      <c r="B22" s="19">
        <f>IF(A22&lt;=input!$B$18,-(input!$B$22*12),0)</f>
        <v>0</v>
      </c>
      <c r="C22" s="18">
        <f>(C21*(1+input!$B$28))</f>
        <v>-100</v>
      </c>
      <c r="D22" s="18">
        <f>(D21*(1+input!$B$28))</f>
        <v>-100</v>
      </c>
      <c r="E22">
        <f>-input!$B$25</f>
        <v>0</v>
      </c>
      <c r="F22" s="20">
        <f t="shared" si="0"/>
        <v>-200</v>
      </c>
      <c r="H22" s="18">
        <f>H21*(1+input!$B$28)</f>
        <v>250000</v>
      </c>
    </row>
    <row r="23" spans="1:8" ht="15">
      <c r="A23">
        <v>22</v>
      </c>
      <c r="B23" s="19">
        <f>IF(A23&lt;=input!$B$18,-(input!$B$22*12),0)</f>
        <v>0</v>
      </c>
      <c r="C23" s="18">
        <f>(C22*(1+input!$B$28))</f>
        <v>-100</v>
      </c>
      <c r="D23" s="18">
        <f>(D22*(1+input!$B$28))</f>
        <v>-100</v>
      </c>
      <c r="E23">
        <f>-input!$B$25</f>
        <v>0</v>
      </c>
      <c r="F23" s="20">
        <f t="shared" si="0"/>
        <v>-200</v>
      </c>
      <c r="H23" s="18">
        <f>H22*(1+input!$B$28)</f>
        <v>250000</v>
      </c>
    </row>
    <row r="24" spans="1:8" ht="15">
      <c r="A24">
        <v>23</v>
      </c>
      <c r="B24" s="19">
        <f>IF(A24&lt;=input!$B$18,-(input!$B$22*12),0)</f>
        <v>0</v>
      </c>
      <c r="C24" s="18">
        <f>(C23*(1+input!$B$28))</f>
        <v>-100</v>
      </c>
      <c r="D24" s="18">
        <f>(D23*(1+input!$B$28))</f>
        <v>-100</v>
      </c>
      <c r="E24">
        <f>-input!$B$25</f>
        <v>0</v>
      </c>
      <c r="F24" s="20">
        <f t="shared" si="0"/>
        <v>-200</v>
      </c>
      <c r="H24" s="18">
        <f>H23*(1+input!$B$28)</f>
        <v>250000</v>
      </c>
    </row>
    <row r="25" spans="1:8" ht="15">
      <c r="A25">
        <v>24</v>
      </c>
      <c r="B25" s="19">
        <f>IF(A25&lt;=input!$B$18,-(input!$B$22*12),0)</f>
        <v>0</v>
      </c>
      <c r="C25" s="18">
        <f>(C24*(1+input!$B$28))</f>
        <v>-100</v>
      </c>
      <c r="D25" s="18">
        <f>(D24*(1+input!$B$28))</f>
        <v>-100</v>
      </c>
      <c r="E25">
        <f>-input!$B$25</f>
        <v>0</v>
      </c>
      <c r="F25" s="20">
        <f t="shared" si="0"/>
        <v>-200</v>
      </c>
      <c r="H25" s="18">
        <f>H24*(1+input!$B$28)</f>
        <v>250000</v>
      </c>
    </row>
    <row r="26" spans="1:8" ht="15">
      <c r="A26">
        <v>25</v>
      </c>
      <c r="B26" s="19">
        <f>IF(A26&lt;=input!$B$18,-(input!$B$22*12),0)</f>
        <v>0</v>
      </c>
      <c r="C26" s="18">
        <f>(C25*(1+input!$B$28))</f>
        <v>-100</v>
      </c>
      <c r="D26" s="18">
        <f>(D25*(1+input!$B$28))</f>
        <v>-100</v>
      </c>
      <c r="E26">
        <f>-input!$B$25</f>
        <v>0</v>
      </c>
      <c r="F26" s="20">
        <f t="shared" si="0"/>
        <v>-200</v>
      </c>
      <c r="H26" s="18">
        <f>H25*(1+input!$B$28)</f>
        <v>250000</v>
      </c>
    </row>
    <row r="27" spans="1:8" ht="15">
      <c r="A27">
        <v>26</v>
      </c>
      <c r="B27" s="19">
        <f>IF(A27&lt;=input!$B$18,-(input!$B$22*12),0)</f>
        <v>0</v>
      </c>
      <c r="C27" s="18">
        <f>(C26*(1+input!$B$28))</f>
        <v>-100</v>
      </c>
      <c r="D27" s="18">
        <f>(D26*(1+input!$B$28))</f>
        <v>-100</v>
      </c>
      <c r="E27">
        <f>-input!$B$25</f>
        <v>0</v>
      </c>
      <c r="F27" s="20">
        <f t="shared" si="0"/>
        <v>-200</v>
      </c>
      <c r="H27" s="18">
        <f>H26*(1+input!$B$28)</f>
        <v>250000</v>
      </c>
    </row>
    <row r="28" spans="1:8" ht="15">
      <c r="A28">
        <v>27</v>
      </c>
      <c r="B28" s="19">
        <f>IF(A28&lt;=input!$B$18,-(input!$B$22*12),0)</f>
        <v>0</v>
      </c>
      <c r="C28" s="18">
        <f>(C27*(1+input!$B$28))</f>
        <v>-100</v>
      </c>
      <c r="D28" s="18">
        <f>(D27*(1+input!$B$28))</f>
        <v>-100</v>
      </c>
      <c r="E28">
        <f>-input!$B$25</f>
        <v>0</v>
      </c>
      <c r="F28" s="20">
        <f t="shared" si="0"/>
        <v>-200</v>
      </c>
      <c r="H28" s="18">
        <f>H27*(1+input!$B$28)</f>
        <v>250000</v>
      </c>
    </row>
    <row r="29" spans="1:8" ht="15">
      <c r="A29">
        <v>28</v>
      </c>
      <c r="B29" s="19">
        <f>IF(A29&lt;=input!$B$18,-(input!$B$22*12),0)</f>
        <v>0</v>
      </c>
      <c r="C29" s="18">
        <f>(C28*(1+input!$B$28))</f>
        <v>-100</v>
      </c>
      <c r="D29" s="18">
        <f>(D28*(1+input!$B$28))</f>
        <v>-100</v>
      </c>
      <c r="E29">
        <f>-input!$B$25</f>
        <v>0</v>
      </c>
      <c r="F29" s="20">
        <f t="shared" si="0"/>
        <v>-200</v>
      </c>
      <c r="H29" s="18">
        <f>H28*(1+input!$B$28)</f>
        <v>250000</v>
      </c>
    </row>
    <row r="30" spans="1:8" ht="15">
      <c r="A30">
        <v>29</v>
      </c>
      <c r="B30" s="19">
        <f>IF(A30&lt;=input!$B$18,-(input!$B$22*12),0)</f>
        <v>0</v>
      </c>
      <c r="C30" s="18">
        <f>(C29*(1+input!$B$28))</f>
        <v>-100</v>
      </c>
      <c r="D30" s="18">
        <f>(D29*(1+input!$B$28))</f>
        <v>-100</v>
      </c>
      <c r="E30">
        <f>-input!$B$25</f>
        <v>0</v>
      </c>
      <c r="F30" s="20">
        <f t="shared" si="0"/>
        <v>-200</v>
      </c>
      <c r="H30" s="18">
        <f>H29*(1+input!$B$28)</f>
        <v>250000</v>
      </c>
    </row>
    <row r="31" spans="1:8" ht="15">
      <c r="A31">
        <v>30</v>
      </c>
      <c r="B31" s="19">
        <f>IF(A31&lt;=input!$B$18,-(input!$B$22*12),0)</f>
        <v>0</v>
      </c>
      <c r="C31" s="18">
        <f>(C30*(1+input!$B$28))</f>
        <v>-100</v>
      </c>
      <c r="D31" s="18">
        <f>(D30*(1+input!$B$28))</f>
        <v>-100</v>
      </c>
      <c r="E31">
        <f>-input!$B$25</f>
        <v>0</v>
      </c>
      <c r="F31" s="20">
        <f t="shared" si="0"/>
        <v>-200</v>
      </c>
      <c r="H31" s="18">
        <f>H30*(1+input!$B$28)</f>
        <v>250000</v>
      </c>
    </row>
    <row r="32" spans="1:8" ht="15">
      <c r="A32">
        <v>31</v>
      </c>
      <c r="B32" s="19">
        <f>IF(A32&lt;=input!$B$18,-(input!$B$22*12),0)</f>
        <v>0</v>
      </c>
      <c r="C32" s="18">
        <f>(C31*(1+input!$B$28))</f>
        <v>-100</v>
      </c>
      <c r="D32" s="18">
        <f>(D31*(1+input!$B$28))</f>
        <v>-100</v>
      </c>
      <c r="E32">
        <f>-input!$B$25</f>
        <v>0</v>
      </c>
      <c r="F32" s="20">
        <f t="shared" si="0"/>
        <v>-200</v>
      </c>
      <c r="H32" s="18">
        <f>H31*(1+input!$B$28)</f>
        <v>250000</v>
      </c>
    </row>
    <row r="33" spans="1:8" ht="15">
      <c r="A33">
        <v>32</v>
      </c>
      <c r="B33" s="19">
        <f>IF(A33&lt;=input!$B$18,-(input!$B$22*12),0)</f>
        <v>0</v>
      </c>
      <c r="C33" s="18">
        <f>(C32*(1+input!$B$28))</f>
        <v>-100</v>
      </c>
      <c r="D33" s="18">
        <f>(D32*(1+input!$B$28))</f>
        <v>-100</v>
      </c>
      <c r="E33">
        <f>-input!$B$25</f>
        <v>0</v>
      </c>
      <c r="F33" s="20">
        <f t="shared" si="0"/>
        <v>-200</v>
      </c>
      <c r="H33" s="18">
        <f>H32*(1+input!$B$28)</f>
        <v>250000</v>
      </c>
    </row>
    <row r="34" spans="1:8" ht="15">
      <c r="A34">
        <v>33</v>
      </c>
      <c r="B34" s="19">
        <f>IF(A34&lt;=input!$B$18,-(input!$B$22*12),0)</f>
        <v>0</v>
      </c>
      <c r="C34" s="18">
        <f>(C33*(1+input!$B$28))</f>
        <v>-100</v>
      </c>
      <c r="D34" s="18">
        <f>(D33*(1+input!$B$28))</f>
        <v>-100</v>
      </c>
      <c r="E34">
        <f>-input!$B$25</f>
        <v>0</v>
      </c>
      <c r="F34" s="20">
        <f t="shared" si="0"/>
        <v>-200</v>
      </c>
      <c r="H34" s="18">
        <f>H33*(1+input!$B$28)</f>
        <v>250000</v>
      </c>
    </row>
    <row r="35" spans="1:8" ht="15">
      <c r="A35">
        <v>34</v>
      </c>
      <c r="B35" s="19">
        <f>IF(A35&lt;=input!$B$18,-(input!$B$22*12),0)</f>
        <v>0</v>
      </c>
      <c r="C35" s="18">
        <f>(C34*(1+input!$B$28))</f>
        <v>-100</v>
      </c>
      <c r="D35" s="18">
        <f>(D34*(1+input!$B$28))</f>
        <v>-100</v>
      </c>
      <c r="E35">
        <f>-input!$B$25</f>
        <v>0</v>
      </c>
      <c r="F35" s="20">
        <f t="shared" si="0"/>
        <v>-200</v>
      </c>
      <c r="H35" s="18">
        <f>H34*(1+input!$B$28)</f>
        <v>250000</v>
      </c>
    </row>
    <row r="36" spans="1:8" ht="15">
      <c r="A36">
        <v>35</v>
      </c>
      <c r="B36" s="19">
        <f>IF(A36&lt;=input!$B$18,-(input!$B$22*12),0)</f>
        <v>0</v>
      </c>
      <c r="C36" s="18">
        <f>(C35*(1+input!$B$28))</f>
        <v>-100</v>
      </c>
      <c r="D36" s="18">
        <f>(D35*(1+input!$B$28))</f>
        <v>-100</v>
      </c>
      <c r="E36">
        <f>-input!$B$25</f>
        <v>0</v>
      </c>
      <c r="F36" s="20">
        <f t="shared" si="0"/>
        <v>-200</v>
      </c>
      <c r="H36" s="23">
        <f>H35*(1+input!$B$28)</f>
        <v>250000</v>
      </c>
    </row>
    <row r="37" spans="2:6" s="1" customFormat="1" ht="15">
      <c r="B37" s="22">
        <f>SUM(B2:B36)</f>
        <v>-262794.9639960804</v>
      </c>
      <c r="C37" s="22">
        <f>SUM(C2:C36)</f>
        <v>-3500</v>
      </c>
      <c r="D37" s="22">
        <f>SUM(D2:D36)</f>
        <v>-3500</v>
      </c>
      <c r="E37" s="22">
        <f>SUM(E2:E36)</f>
        <v>0</v>
      </c>
      <c r="F37" s="22">
        <f>SUM(B37:E37)</f>
        <v>-269794.9639960804</v>
      </c>
    </row>
    <row r="39" spans="1:2" ht="15">
      <c r="A39" s="24" t="s">
        <v>35</v>
      </c>
      <c r="B39" s="25">
        <f>H36+F37</f>
        <v>-19794.96399608039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A39" sqref="A39:B39"/>
    </sheetView>
  </sheetViews>
  <sheetFormatPr defaultColWidth="9.140625" defaultRowHeight="15"/>
  <cols>
    <col min="2" max="2" width="12.421875" style="0" customWidth="1"/>
    <col min="4" max="4" width="14.140625" style="0" bestFit="1" customWidth="1"/>
  </cols>
  <sheetData>
    <row r="1" spans="1:4" ht="15">
      <c r="A1" s="21" t="s">
        <v>26</v>
      </c>
      <c r="B1" s="21" t="s">
        <v>32</v>
      </c>
      <c r="D1" s="21" t="s">
        <v>34</v>
      </c>
    </row>
    <row r="2" spans="1:4" ht="15">
      <c r="A2">
        <v>1</v>
      </c>
      <c r="B2" s="18">
        <f>-input!E22*12</f>
        <v>-10500</v>
      </c>
      <c r="D2" s="18">
        <f>input!E16</f>
        <v>106120</v>
      </c>
    </row>
    <row r="3" spans="1:4" ht="15">
      <c r="A3">
        <v>2</v>
      </c>
      <c r="B3" s="18">
        <f>B2*(1+input!$E$28)</f>
        <v>-10500</v>
      </c>
      <c r="D3" s="18">
        <f>D2*(1+input!$E$20)</f>
        <v>110364.8</v>
      </c>
    </row>
    <row r="4" spans="1:4" ht="15">
      <c r="A4">
        <v>3</v>
      </c>
      <c r="B4" s="18">
        <f>B3*(1+input!$E$28)</f>
        <v>-10500</v>
      </c>
      <c r="D4" s="18">
        <f>D3*(1+input!$E$20)</f>
        <v>114779.392</v>
      </c>
    </row>
    <row r="5" spans="1:4" ht="15">
      <c r="A5">
        <v>4</v>
      </c>
      <c r="B5" s="18">
        <f>B4*(1+input!$E$28)</f>
        <v>-10500</v>
      </c>
      <c r="D5" s="18">
        <f>D4*(1+input!$E$20)</f>
        <v>119370.56768000001</v>
      </c>
    </row>
    <row r="6" spans="1:4" ht="15">
      <c r="A6">
        <v>5</v>
      </c>
      <c r="B6" s="18">
        <f>B5*(1+input!$E$28)</f>
        <v>-10500</v>
      </c>
      <c r="D6" s="18">
        <f>D5*(1+input!$E$20)</f>
        <v>124145.39038720001</v>
      </c>
    </row>
    <row r="7" spans="1:4" ht="15">
      <c r="A7">
        <v>6</v>
      </c>
      <c r="B7" s="18">
        <f>B6*(1+input!$E$28)</f>
        <v>-10500</v>
      </c>
      <c r="D7" s="18">
        <f>D6*(1+input!$E$20)</f>
        <v>129111.206002688</v>
      </c>
    </row>
    <row r="8" spans="1:4" ht="15">
      <c r="A8">
        <v>7</v>
      </c>
      <c r="B8" s="18">
        <f>B7*(1+input!$E$28)</f>
        <v>-10500</v>
      </c>
      <c r="D8" s="18">
        <f>D7*(1+input!$E$20)</f>
        <v>134275.65424279554</v>
      </c>
    </row>
    <row r="9" spans="1:4" ht="15">
      <c r="A9">
        <v>8</v>
      </c>
      <c r="B9" s="18">
        <f>B8*(1+input!$E$28)</f>
        <v>-10500</v>
      </c>
      <c r="D9" s="18">
        <f>D8*(1+input!$E$20)</f>
        <v>139646.68041250738</v>
      </c>
    </row>
    <row r="10" spans="1:4" ht="15">
      <c r="A10">
        <v>9</v>
      </c>
      <c r="B10" s="18">
        <f>B9*(1+input!$E$28)</f>
        <v>-10500</v>
      </c>
      <c r="D10" s="18">
        <f>D9*(1+input!$E$20)</f>
        <v>145232.5476290077</v>
      </c>
    </row>
    <row r="11" spans="1:4" ht="15">
      <c r="A11">
        <v>10</v>
      </c>
      <c r="B11" s="18">
        <f>B10*(1+input!$E$28)</f>
        <v>-10500</v>
      </c>
      <c r="D11" s="18">
        <f>D10*(1+input!$E$20)</f>
        <v>151041.849534168</v>
      </c>
    </row>
    <row r="12" spans="1:4" ht="15">
      <c r="A12">
        <v>11</v>
      </c>
      <c r="B12" s="18">
        <f>B11*(1+input!$E$28)</f>
        <v>-10500</v>
      </c>
      <c r="D12" s="18">
        <f>D11*(1+input!$E$20)</f>
        <v>157083.52351553473</v>
      </c>
    </row>
    <row r="13" spans="1:4" ht="15">
      <c r="A13">
        <v>12</v>
      </c>
      <c r="B13" s="18">
        <f>B12*(1+input!$E$28)</f>
        <v>-10500</v>
      </c>
      <c r="D13" s="18">
        <f>D12*(1+input!$E$20)</f>
        <v>163366.86445615612</v>
      </c>
    </row>
    <row r="14" spans="1:4" ht="15">
      <c r="A14">
        <v>13</v>
      </c>
      <c r="B14" s="18">
        <f>B13*(1+input!$E$28)</f>
        <v>-10500</v>
      </c>
      <c r="D14" s="18">
        <f>D13*(1+input!$E$20)</f>
        <v>169901.53903440238</v>
      </c>
    </row>
    <row r="15" spans="1:4" ht="15">
      <c r="A15">
        <v>14</v>
      </c>
      <c r="B15" s="18">
        <f>B14*(1+input!$E$28)</f>
        <v>-10500</v>
      </c>
      <c r="D15" s="18">
        <f>D14*(1+input!$E$20)</f>
        <v>176697.60059577847</v>
      </c>
    </row>
    <row r="16" spans="1:4" ht="15">
      <c r="A16">
        <v>15</v>
      </c>
      <c r="B16" s="18">
        <f>B15*(1+input!$E$28)</f>
        <v>-10500</v>
      </c>
      <c r="D16" s="18">
        <f>D15*(1+input!$E$20)</f>
        <v>183765.50461960962</v>
      </c>
    </row>
    <row r="17" spans="1:4" ht="15">
      <c r="A17">
        <v>16</v>
      </c>
      <c r="B17" s="18">
        <f>B16*(1+input!$E$28)</f>
        <v>-10500</v>
      </c>
      <c r="D17" s="18">
        <f>D16*(1+input!$E$20)</f>
        <v>191116.12480439403</v>
      </c>
    </row>
    <row r="18" spans="1:4" ht="15">
      <c r="A18">
        <v>17</v>
      </c>
      <c r="B18" s="18">
        <f>B17*(1+input!$E$28)</f>
        <v>-10500</v>
      </c>
      <c r="D18" s="18">
        <f>D17*(1+input!$E$20)</f>
        <v>198760.7697965698</v>
      </c>
    </row>
    <row r="19" spans="1:4" ht="15">
      <c r="A19">
        <v>18</v>
      </c>
      <c r="B19" s="18">
        <f>B18*(1+input!$E$28)</f>
        <v>-10500</v>
      </c>
      <c r="D19" s="18">
        <f>D18*(1+input!$E$20)</f>
        <v>206711.2005884326</v>
      </c>
    </row>
    <row r="20" spans="1:4" ht="15">
      <c r="A20">
        <v>19</v>
      </c>
      <c r="B20" s="18">
        <f>B19*(1+input!$E$28)</f>
        <v>-10500</v>
      </c>
      <c r="D20" s="18">
        <f>D19*(1+input!$E$20)</f>
        <v>214979.64861196993</v>
      </c>
    </row>
    <row r="21" spans="1:4" ht="15">
      <c r="A21">
        <v>20</v>
      </c>
      <c r="B21" s="18">
        <f>B20*(1+input!$E$28)</f>
        <v>-10500</v>
      </c>
      <c r="D21" s="18">
        <f>D20*(1+input!$E$20)</f>
        <v>223578.83455644874</v>
      </c>
    </row>
    <row r="22" spans="1:4" ht="15">
      <c r="A22">
        <v>21</v>
      </c>
      <c r="B22" s="18">
        <f>B21*(1+input!$E$28)</f>
        <v>-10500</v>
      </c>
      <c r="D22" s="18">
        <f>D21*(1+input!$E$20)</f>
        <v>232521.9879387067</v>
      </c>
    </row>
    <row r="23" spans="1:4" ht="15">
      <c r="A23">
        <v>22</v>
      </c>
      <c r="B23" s="18">
        <f>B22*(1+input!$E$28)</f>
        <v>-10500</v>
      </c>
      <c r="D23" s="18">
        <f>D22*(1+input!$E$20)</f>
        <v>241822.867456255</v>
      </c>
    </row>
    <row r="24" spans="1:4" ht="15">
      <c r="A24">
        <v>23</v>
      </c>
      <c r="B24" s="18">
        <f>B23*(1+input!$E$28)</f>
        <v>-10500</v>
      </c>
      <c r="D24" s="18">
        <f>D23*(1+input!$E$20)</f>
        <v>251495.7821545052</v>
      </c>
    </row>
    <row r="25" spans="1:4" ht="15">
      <c r="A25">
        <v>24</v>
      </c>
      <c r="B25" s="18">
        <f>B24*(1+input!$E$28)</f>
        <v>-10500</v>
      </c>
      <c r="D25" s="18">
        <f>D24*(1+input!$E$20)</f>
        <v>261555.6134406854</v>
      </c>
    </row>
    <row r="26" spans="1:4" ht="15">
      <c r="A26">
        <v>25</v>
      </c>
      <c r="B26" s="18">
        <f>B25*(1+input!$E$28)</f>
        <v>-10500</v>
      </c>
      <c r="D26" s="18">
        <f>D25*(1+input!$E$20)</f>
        <v>272017.83797831286</v>
      </c>
    </row>
    <row r="27" spans="1:4" ht="15">
      <c r="A27">
        <v>26</v>
      </c>
      <c r="B27" s="18">
        <f>B26*(1+input!$E$28)</f>
        <v>-10500</v>
      </c>
      <c r="D27" s="18">
        <f>D26*(1+input!$E$20)</f>
        <v>282898.5514974454</v>
      </c>
    </row>
    <row r="28" spans="1:4" ht="15">
      <c r="A28">
        <v>27</v>
      </c>
      <c r="B28" s="18">
        <f>B27*(1+input!$E$28)</f>
        <v>-10500</v>
      </c>
      <c r="D28" s="18">
        <f>D27*(1+input!$E$20)</f>
        <v>294214.4935573432</v>
      </c>
    </row>
    <row r="29" spans="1:4" ht="15">
      <c r="A29">
        <v>28</v>
      </c>
      <c r="B29" s="18">
        <f>B28*(1+input!$E$28)</f>
        <v>-10500</v>
      </c>
      <c r="D29" s="18">
        <f>D28*(1+input!$E$20)</f>
        <v>305983.07329963695</v>
      </c>
    </row>
    <row r="30" spans="1:4" ht="15">
      <c r="A30">
        <v>29</v>
      </c>
      <c r="B30" s="18">
        <f>B29*(1+input!$E$28)</f>
        <v>-10500</v>
      </c>
      <c r="D30" s="18">
        <f>D29*(1+input!$E$20)</f>
        <v>318222.39623162244</v>
      </c>
    </row>
    <row r="31" spans="1:4" ht="15">
      <c r="A31">
        <v>30</v>
      </c>
      <c r="B31" s="18">
        <f>B30*(1+input!$E$28)</f>
        <v>-10500</v>
      </c>
      <c r="D31" s="18">
        <f>D30*(1+input!$E$20)</f>
        <v>330951.29208088736</v>
      </c>
    </row>
    <row r="32" spans="1:4" ht="15">
      <c r="A32">
        <v>31</v>
      </c>
      <c r="B32" s="18">
        <f>B31*(1+input!$E$28)</f>
        <v>-10500</v>
      </c>
      <c r="D32" s="18">
        <f>D31*(1+input!$E$20)</f>
        <v>344189.34376412287</v>
      </c>
    </row>
    <row r="33" spans="1:4" ht="15">
      <c r="A33">
        <v>32</v>
      </c>
      <c r="B33" s="18">
        <f>B32*(1+input!$E$28)</f>
        <v>-10500</v>
      </c>
      <c r="D33" s="18">
        <f>D32*(1+input!$E$20)</f>
        <v>357956.9175146878</v>
      </c>
    </row>
    <row r="34" spans="1:4" ht="15">
      <c r="A34">
        <v>33</v>
      </c>
      <c r="B34" s="18">
        <f>B33*(1+input!$E$28)</f>
        <v>-10500</v>
      </c>
      <c r="D34" s="18">
        <f>D33*(1+input!$E$20)</f>
        <v>372275.19421527535</v>
      </c>
    </row>
    <row r="35" spans="1:4" ht="15">
      <c r="A35">
        <v>34</v>
      </c>
      <c r="B35" s="18">
        <f>B34*(1+input!$E$28)</f>
        <v>-10500</v>
      </c>
      <c r="D35" s="18">
        <f>D34*(1+input!$E$20)</f>
        <v>387166.20198388636</v>
      </c>
    </row>
    <row r="36" spans="1:4" ht="15">
      <c r="A36">
        <v>35</v>
      </c>
      <c r="B36" s="18">
        <f>B35*(1+input!$E$28)</f>
        <v>-10500</v>
      </c>
      <c r="D36" s="23">
        <f>D35*(1+input!$E$20)</f>
        <v>402652.85006324184</v>
      </c>
    </row>
    <row r="37" spans="1:2" ht="15">
      <c r="A37" s="1"/>
      <c r="B37" s="22">
        <f>SUM(B2:B36)</f>
        <v>-367500</v>
      </c>
    </row>
    <row r="39" spans="1:2" ht="15">
      <c r="A39" s="24" t="s">
        <v>35</v>
      </c>
      <c r="B39" s="25">
        <f>D36+B37</f>
        <v>35152.85006324184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created xsi:type="dcterms:W3CDTF">2009-01-08T13:26:54Z</dcterms:created>
  <dcterms:modified xsi:type="dcterms:W3CDTF">2009-08-05T19:20:37Z</dcterms:modified>
  <cp:category/>
  <cp:version/>
  <cp:contentType/>
  <cp:contentStatus/>
</cp:coreProperties>
</file>